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<sst xmlns="http://schemas.openxmlformats.org/spreadsheetml/2006/main" count="49" uniqueCount="37">
  <si>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P%</t>
  </si>
  <si>
    <t>Kondansatör Gücü(kVAr)</t>
  </si>
  <si>
    <t>Kondansatör Gerilimi(V)</t>
  </si>
  <si>
    <t>Şebeke Frekansı (Hz)</t>
  </si>
  <si>
    <t>Şebeke Gerilimi (V)</t>
  </si>
  <si>
    <t>Rezonans Frekansı (Hz)</t>
  </si>
  <si>
    <t>Minimum Kondansatör Gerilimi (V)</t>
  </si>
  <si>
    <t>Elde edilen Güç (kVAr)</t>
  </si>
  <si>
    <t>Kondansatör Değeri (uF)</t>
  </si>
  <si>
    <t>Kondansatör Frekansı (Hz)</t>
  </si>
  <si>
    <t>Kullanılacak Reaktör Kodu</t>
  </si>
  <si>
    <t>Filtreli Kompanzasyon Hesabı</t>
  </si>
  <si>
    <t>Endüktans Değeri (mH)</t>
  </si>
  <si>
    <t>Endüktans Akımı (A)</t>
  </si>
  <si>
    <t>w50</t>
  </si>
  <si>
    <t>w150</t>
  </si>
  <si>
    <t>w250</t>
  </si>
  <si>
    <t>w350</t>
  </si>
  <si>
    <t>V50</t>
  </si>
  <si>
    <t>V150</t>
  </si>
  <si>
    <t>V250</t>
  </si>
  <si>
    <t>V350</t>
  </si>
  <si>
    <t>X50</t>
  </si>
  <si>
    <t>I50</t>
  </si>
  <si>
    <t>X150</t>
  </si>
  <si>
    <t>X250</t>
  </si>
  <si>
    <t>X350</t>
  </si>
  <si>
    <t>I150</t>
  </si>
  <si>
    <t>I250</t>
  </si>
  <si>
    <t>I350</t>
  </si>
  <si>
    <t>Endüktans Doyum Akımı</t>
  </si>
  <si>
    <t>Rezonans Sapması</t>
  </si>
  <si>
    <t>Kullanılacak Reaktör Endüktansı</t>
  </si>
  <si>
    <t>Kullanılacak Reaktör Max Akımı</t>
  </si>
  <si>
    <t>Kullanılacak Reaktör Doyum Akımı</t>
  </si>
  <si>
    <t>Kullanılacak Rezonans Noktası</t>
  </si>
  <si>
    <t>ZORLA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</si>
</sst>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 horizontal="left" wrapText="1"/>
    </xf>
    <xf numFmtId="0" fontId="1" fillId="35" borderId="13" xfId="0" applyFont="1" applyFill="1" applyBorder="1" applyAlignment="1">
      <alignment horizontal="left" wrapText="1"/>
    </xf>
    <xf numFmtId="2" fontId="0" fillId="36" borderId="14" xfId="0" applyNumberFormat="1" applyFill="1" applyBorder="1" applyAlignment="1">
      <alignment horizontal="center"/>
    </xf>
    <xf numFmtId="2" fontId="0" fillId="36" borderId="15" xfId="0" applyNumberFormat="1" applyFill="1" applyBorder="1" applyAlignment="1">
      <alignment horizontal="center"/>
    </xf>
    <xf numFmtId="2" fontId="0" fillId="36" borderId="16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2" fontId="3" fillId="36" borderId="15" xfId="0" applyNumberFormat="1" applyFont="1" applyFill="1" applyBorder="1" applyAlignment="1">
      <alignment/>
    </xf>
    <xf numFmtId="0" fontId="2" fillId="37" borderId="17" xfId="0" applyFont="1" applyFill="1" applyBorder="1" applyAlignment="1">
      <alignment horizontal="left" wrapText="1"/>
    </xf>
    <xf numFmtId="0" fontId="2" fillId="37" borderId="11" xfId="0" applyFont="1" applyFill="1" applyBorder="1" applyAlignment="1">
      <alignment horizontal="left"/>
    </xf>
    <xf numFmtId="0" fontId="2" fillId="37" borderId="11" xfId="0" applyFont="1" applyFill="1" applyBorder="1" applyAlignment="1">
      <alignment/>
    </xf>
    <xf numFmtId="0" fontId="2" fillId="37" borderId="11" xfId="0" applyFont="1" applyFill="1" applyBorder="1" applyAlignment="1">
      <alignment horizontal="left" wrapText="1"/>
    </xf>
    <xf numFmtId="0" fontId="2" fillId="37" borderId="18" xfId="0" applyFont="1" applyFill="1" applyBorder="1" applyAlignment="1">
      <alignment horizontal="left" wrapText="1"/>
    </xf>
    <xf numFmtId="0" fontId="2" fillId="38" borderId="19" xfId="0" applyFont="1" applyFill="1" applyBorder="1" applyAlignment="1">
      <alignment/>
    </xf>
    <xf numFmtId="0" fontId="5" fillId="39" borderId="11" xfId="0" applyFont="1" applyFill="1" applyBorder="1" applyAlignment="1">
      <alignment horizontal="left" wrapText="1"/>
    </xf>
    <xf numFmtId="2" fontId="6" fillId="36" borderId="14" xfId="0" applyNumberFormat="1" applyFont="1" applyFill="1" applyBorder="1" applyAlignment="1">
      <alignment horizontal="center"/>
    </xf>
    <xf numFmtId="2" fontId="0" fillId="40" borderId="20" xfId="0" applyNumberForma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41" borderId="19" xfId="0" applyNumberFormat="1" applyFont="1" applyFill="1" applyBorder="1" applyAlignment="1" applyProtection="1">
      <alignment horizontal="center"/>
      <protection locked="0"/>
    </xf>
    <xf numFmtId="2" fontId="2" fillId="36" borderId="14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2" fontId="2" fillId="36" borderId="2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42" borderId="0" xfId="0" applyFont="1" applyFill="1" applyBorder="1" applyAlignment="1">
      <alignment horizontal="center"/>
    </xf>
    <xf numFmtId="0" fontId="0" fillId="42" borderId="0" xfId="0" applyFont="1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0" xfId="0" applyFill="1" applyAlignment="1">
      <alignment/>
    </xf>
    <xf numFmtId="0" fontId="0" fillId="42" borderId="0" xfId="0" applyFont="1" applyFill="1" applyAlignment="1">
      <alignment/>
    </xf>
    <xf numFmtId="0" fontId="0" fillId="42" borderId="0" xfId="0" applyFill="1" applyBorder="1" applyAlignment="1">
      <alignment/>
    </xf>
    <xf numFmtId="2" fontId="0" fillId="42" borderId="0" xfId="0" applyNumberFormat="1" applyFill="1" applyBorder="1" applyAlignment="1">
      <alignment/>
    </xf>
    <xf numFmtId="17" fontId="0" fillId="42" borderId="0" xfId="0" applyNumberFormat="1" applyFill="1" applyBorder="1" applyAlignment="1">
      <alignment horizontal="right"/>
    </xf>
    <xf numFmtId="2" fontId="0" fillId="42" borderId="0" xfId="0" applyNumberFormat="1" applyFill="1" applyBorder="1" applyAlignment="1">
      <alignment horizontal="right"/>
    </xf>
    <xf numFmtId="2" fontId="0" fillId="42" borderId="0" xfId="0" applyNumberFormat="1" applyFill="1" applyAlignment="1">
      <alignment/>
    </xf>
    <xf numFmtId="0" fontId="1" fillId="43" borderId="21" xfId="0" applyFont="1" applyFill="1" applyBorder="1" applyAlignment="1">
      <alignment horizontal="center"/>
    </xf>
    <xf numFmtId="0" fontId="1" fillId="43" borderId="22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115" zoomScaleNormal="115" zoomScalePageLayoutView="0" workbookViewId="0" topLeftCell="A1">
      <selection activeCell="D34" sqref="D34"/>
    </sheetView>
  </sheetViews>
  <sheetFormatPr defaultColWidth="9.140625" defaultRowHeight="12.75"/>
  <cols>
    <col min="1" max="1" width="33.28125" style="0" bestFit="1" customWidth="1"/>
    <col min="2" max="2" width="30.00390625" style="58" customWidth="1"/>
    <col min="3" max="3" width="8.7109375" style="0" customWidth="1"/>
    <col min="6" max="6" width="14.00390625" style="0" customWidth="1"/>
    <col min="7" max="9" width="8.7109375" style="0" hidden="1" customWidth="1"/>
    <col min="10" max="11" width="9.140625" style="0" hidden="1" customWidth="1"/>
    <col min="12" max="12" width="9.140625" style="60" customWidth="1"/>
    <col min="13" max="13" width="20.7109375" style="0" customWidth="1"/>
    <col min="14" max="14" width="32.7109375" style="0" bestFit="1" customWidth="1"/>
    <col min="15" max="15" width="51.140625" style="0" bestFit="1" customWidth="1"/>
  </cols>
  <sheetData>
    <row r="1" spans="1:14" ht="13.5" thickBot="1">
      <c r="A1" s="80" t="s">
        <v>11</v>
      </c>
      <c r="B1" s="81"/>
      <c r="C1" s="8"/>
      <c r="D1" s="7"/>
      <c r="E1" s="7"/>
      <c r="F1" s="18"/>
      <c r="G1" s="8" t="s">
        <v>18</v>
      </c>
      <c r="H1" s="8" t="s">
        <v>19</v>
      </c>
      <c r="I1" t="s">
        <v>20</v>
      </c>
      <c r="J1" s="8" t="s">
        <v>21</v>
      </c>
      <c r="N1" s="6"/>
    </row>
    <row r="2" spans="1:14" ht="12.75">
      <c r="A2" s="32" t="s">
        <v>1</v>
      </c>
      <c r="B2" s="51">
        <v>30</v>
      </c>
      <c r="C2" s="13"/>
      <c r="D2" s="19"/>
      <c r="E2" s="19"/>
      <c r="F2" s="20"/>
      <c r="G2" s="30">
        <v>1.06</v>
      </c>
      <c r="H2" s="30">
        <v>0.005</v>
      </c>
      <c r="I2" s="31">
        <v>0.05</v>
      </c>
      <c r="J2" s="31">
        <v>0.05</v>
      </c>
      <c r="K2" s="40">
        <v>4</v>
      </c>
      <c r="N2" s="6"/>
    </row>
    <row r="3" spans="1:14" ht="12.75">
      <c r="A3" s="33" t="s">
        <v>2</v>
      </c>
      <c r="B3" s="52">
        <v>450</v>
      </c>
      <c r="C3" s="13"/>
      <c r="D3" s="19"/>
      <c r="E3" s="19"/>
      <c r="F3" s="20"/>
      <c r="G3" s="13">
        <f>G2*$B$7/SQRT(3)</f>
        <v>244.79651413640133</v>
      </c>
      <c r="H3" s="13">
        <f>H2*$B$7/SQRT(3)</f>
        <v>1.1547005383792517</v>
      </c>
      <c r="I3" s="13">
        <f>I2*$B$7/SQRT(3)</f>
        <v>11.547005383792516</v>
      </c>
      <c r="J3" s="13">
        <f>J2*$B$7/SQRT(3)</f>
        <v>11.547005383792516</v>
      </c>
      <c r="K3">
        <v>5</v>
      </c>
      <c r="L3" s="61"/>
      <c r="N3" s="6"/>
    </row>
    <row r="4" spans="1:14" ht="12.75">
      <c r="A4" s="34" t="s">
        <v>9</v>
      </c>
      <c r="B4" s="53">
        <v>50</v>
      </c>
      <c r="C4" s="13"/>
      <c r="D4" s="19"/>
      <c r="E4" s="19"/>
      <c r="F4" s="20"/>
      <c r="G4" s="13" t="s">
        <v>14</v>
      </c>
      <c r="H4" s="17" t="s">
        <v>15</v>
      </c>
      <c r="I4" s="17" t="s">
        <v>16</v>
      </c>
      <c r="J4" t="s">
        <v>17</v>
      </c>
      <c r="K4">
        <v>6.25</v>
      </c>
      <c r="N4" s="6"/>
    </row>
    <row r="5" spans="1:14" ht="12.75">
      <c r="A5" s="33" t="s">
        <v>0</v>
      </c>
      <c r="B5" s="52">
        <v>7</v>
      </c>
      <c r="C5" s="14"/>
      <c r="F5" s="21"/>
      <c r="G5" s="14">
        <f>2*PI()*B6</f>
        <v>314.1592653589793</v>
      </c>
      <c r="H5" s="14">
        <f>G5*3</f>
        <v>942.4777960769379</v>
      </c>
      <c r="I5">
        <f>G5*5</f>
        <v>1570.7963267948967</v>
      </c>
      <c r="J5">
        <f>G5*7</f>
        <v>2199.1148575128555</v>
      </c>
      <c r="K5">
        <v>7.5</v>
      </c>
      <c r="L5" s="62"/>
      <c r="N5" s="6"/>
    </row>
    <row r="6" spans="1:14" ht="12.75">
      <c r="A6" s="33" t="s">
        <v>3</v>
      </c>
      <c r="B6" s="52">
        <v>50</v>
      </c>
      <c r="C6" s="14"/>
      <c r="F6" s="21"/>
      <c r="G6" s="14" t="s">
        <v>22</v>
      </c>
      <c r="H6" s="14" t="s">
        <v>24</v>
      </c>
      <c r="I6" t="s">
        <v>25</v>
      </c>
      <c r="J6" t="s">
        <v>26</v>
      </c>
      <c r="K6" s="19">
        <v>8</v>
      </c>
      <c r="L6" s="62"/>
      <c r="N6" s="6"/>
    </row>
    <row r="7" spans="1:14" ht="12.75">
      <c r="A7" s="33" t="s">
        <v>4</v>
      </c>
      <c r="B7" s="52">
        <v>400</v>
      </c>
      <c r="C7" s="14"/>
      <c r="F7" s="21"/>
      <c r="G7" s="14">
        <f>ABS(G5*$B$12/1000-1/(G5*3*$B$11/1000000))</f>
        <v>6.268370116310606</v>
      </c>
      <c r="H7" s="14">
        <f>ABS(H5*$B$12/1000-1/(H5*3*$B$11/1000000))</f>
        <v>0.8051103489318201</v>
      </c>
      <c r="I7" s="14">
        <f>ABS(I5*$B$12/1000-1/(I5*3*$B$11/1000000))</f>
        <v>1.0581494184469675</v>
      </c>
      <c r="J7" s="14">
        <f>ABS(J5*$B$12/1000-1/(J5*3*$B$11/1000000))</f>
        <v>2.40712347154004</v>
      </c>
      <c r="K7" s="19">
        <v>10</v>
      </c>
      <c r="L7" s="62"/>
      <c r="N7" s="6"/>
    </row>
    <row r="8" spans="1:14" ht="12.75">
      <c r="A8" s="33" t="s">
        <v>5</v>
      </c>
      <c r="B8" s="37">
        <v>189</v>
      </c>
      <c r="C8" s="15"/>
      <c r="F8" s="22"/>
      <c r="G8" t="s">
        <v>23</v>
      </c>
      <c r="H8" t="s">
        <v>27</v>
      </c>
      <c r="I8" t="s">
        <v>28</v>
      </c>
      <c r="J8" s="17" t="s">
        <v>29</v>
      </c>
      <c r="K8" s="19">
        <v>12.5</v>
      </c>
      <c r="L8" s="62"/>
      <c r="N8" s="6"/>
    </row>
    <row r="9" spans="1:14" ht="12.75">
      <c r="A9" s="33" t="s">
        <v>6</v>
      </c>
      <c r="B9" s="37">
        <f>B7*(1/(1-B5/100))</f>
        <v>430.1075268817205</v>
      </c>
      <c r="C9" s="16"/>
      <c r="F9" s="23"/>
      <c r="G9" s="16">
        <f>G3/G7</f>
        <v>39.05265796278188</v>
      </c>
      <c r="H9" s="16">
        <f>H3/H7</f>
        <v>1.434214005460556</v>
      </c>
      <c r="I9" s="16">
        <f>I3/I7</f>
        <v>10.912452610652954</v>
      </c>
      <c r="J9" s="16">
        <f>J3/J7</f>
        <v>4.797014162470413</v>
      </c>
      <c r="K9" s="19">
        <v>13.3</v>
      </c>
      <c r="L9" s="62"/>
      <c r="N9" s="6"/>
    </row>
    <row r="10" spans="1:14" ht="18.75">
      <c r="A10" s="48" t="s">
        <v>7</v>
      </c>
      <c r="B10" s="49">
        <f>B2*(B7^2/B3^2)*(1/(1-B5/100))*(B6/B4)</f>
        <v>25.487853444842695</v>
      </c>
      <c r="C10" s="9"/>
      <c r="F10" s="24"/>
      <c r="G10" s="9"/>
      <c r="H10" s="9"/>
      <c r="K10" s="19">
        <v>15</v>
      </c>
      <c r="L10" s="62"/>
      <c r="N10" s="6"/>
    </row>
    <row r="11" spans="1:15" ht="12.75">
      <c r="A11" s="33" t="s">
        <v>8</v>
      </c>
      <c r="B11" s="37">
        <f>1000000*B2*1000/(B3*B3*2*PI()*B4*3)</f>
        <v>157.19006725125467</v>
      </c>
      <c r="C11" s="17"/>
      <c r="F11" s="26"/>
      <c r="K11" s="19">
        <v>16.6</v>
      </c>
      <c r="L11" s="63"/>
      <c r="N11" s="6"/>
      <c r="O11" s="6"/>
    </row>
    <row r="12" spans="1:15" ht="12.75">
      <c r="A12" s="33" t="s">
        <v>12</v>
      </c>
      <c r="B12" s="37">
        <f>IF(C15=0,I15,B16)</f>
        <v>1.5330755345988314</v>
      </c>
      <c r="C12" s="13"/>
      <c r="F12" s="27"/>
      <c r="G12" s="13"/>
      <c r="H12" s="13"/>
      <c r="K12" s="25">
        <v>20</v>
      </c>
      <c r="L12" s="63"/>
      <c r="N12" s="6"/>
      <c r="O12" s="6"/>
    </row>
    <row r="13" spans="1:15" ht="13.5" thickBot="1">
      <c r="A13" s="33" t="s">
        <v>13</v>
      </c>
      <c r="B13" s="37">
        <f>SQRT(SUMSQ(G9:J9))</f>
        <v>40.85657879248063</v>
      </c>
      <c r="C13" s="10"/>
      <c r="F13" s="28"/>
      <c r="G13" s="11"/>
      <c r="H13" s="12"/>
      <c r="K13" s="25">
        <v>22.2</v>
      </c>
      <c r="L13" s="63"/>
      <c r="N13" s="6"/>
      <c r="O13" s="6"/>
    </row>
    <row r="14" spans="1:15" ht="13.5" thickBot="1">
      <c r="A14" s="35" t="s">
        <v>30</v>
      </c>
      <c r="B14" s="38">
        <f>1.2*1.414*(G9+I9)</f>
        <v>84.78079962100422</v>
      </c>
      <c r="C14" s="47" t="s">
        <v>36</v>
      </c>
      <c r="F14" s="29"/>
      <c r="K14" s="25">
        <v>25</v>
      </c>
      <c r="L14" s="63"/>
      <c r="N14" s="6"/>
      <c r="O14" s="6"/>
    </row>
    <row r="15" spans="1:14" ht="13.5" thickBot="1">
      <c r="A15" s="36" t="s">
        <v>10</v>
      </c>
      <c r="B15" s="54" t="str">
        <f>CONCATENATE("ENT.ERH-E",B6," ",B5,"/",B7,"/",H16)</f>
        <v>ENT.ERH-E50 7/400/25</v>
      </c>
      <c r="C15" s="50">
        <v>25</v>
      </c>
      <c r="F15" s="25"/>
      <c r="I15">
        <f>1000/(3*4*PI()*PI()*B8*B8*B11/1000000)</f>
        <v>1.5037315106944005</v>
      </c>
      <c r="K15" s="25">
        <v>30</v>
      </c>
      <c r="L15" s="63"/>
      <c r="N15" s="6"/>
    </row>
    <row r="16" spans="1:14" ht="12.75">
      <c r="A16" s="42" t="s">
        <v>32</v>
      </c>
      <c r="B16" s="39">
        <f>1000/(3*4*PI()*PI()*B8*B8*G16/1000000)</f>
        <v>1.5330755345988314</v>
      </c>
      <c r="C16" s="1"/>
      <c r="F16" s="25"/>
      <c r="G16" s="3">
        <f>1000000*H16*(1-B5/100)*1000/(2*3*B7*B7*B6*PI())</f>
        <v>154.1813511202736</v>
      </c>
      <c r="H16">
        <f>IF(C15=0,I16,C15)</f>
        <v>25</v>
      </c>
      <c r="I16">
        <f>VLOOKUP(B10,K1:K29,1)</f>
        <v>25</v>
      </c>
      <c r="K16" s="25">
        <v>35</v>
      </c>
      <c r="L16" s="63"/>
      <c r="N16" s="6"/>
    </row>
    <row r="17" spans="1:14" ht="12.75">
      <c r="A17" s="43" t="s">
        <v>33</v>
      </c>
      <c r="B17" s="55">
        <f>1.1*SQRT(SUMSQ(G25:J25))</f>
        <v>0</v>
      </c>
      <c r="C17" s="3"/>
      <c r="F17" s="25"/>
      <c r="G17" s="8" t="s">
        <v>18</v>
      </c>
      <c r="H17" s="8" t="s">
        <v>19</v>
      </c>
      <c r="I17" t="s">
        <v>20</v>
      </c>
      <c r="J17" s="8" t="s">
        <v>21</v>
      </c>
      <c r="K17" s="25">
        <v>40</v>
      </c>
      <c r="L17" s="63"/>
      <c r="N17" s="6"/>
    </row>
    <row r="18" spans="1:14" ht="12.75">
      <c r="A18" s="44" t="s">
        <v>34</v>
      </c>
      <c r="B18" s="56">
        <f>1.2*1.414*(G25+I25)</f>
        <v>0</v>
      </c>
      <c r="C18" s="3"/>
      <c r="F18" s="25"/>
      <c r="G18" s="30">
        <v>1.06</v>
      </c>
      <c r="H18" s="30">
        <v>0.005</v>
      </c>
      <c r="I18" s="31">
        <v>0.05</v>
      </c>
      <c r="J18" s="31">
        <v>0.05</v>
      </c>
      <c r="K18" s="25">
        <v>44.4</v>
      </c>
      <c r="L18" s="63"/>
      <c r="N18" s="6"/>
    </row>
    <row r="19" spans="1:14" ht="12.75">
      <c r="A19" s="45" t="s">
        <v>35</v>
      </c>
      <c r="B19" s="41">
        <f>SQRT(1/((3*B16/1000000)*B11/1000))/(2*PI())</f>
        <v>187.18247176051233</v>
      </c>
      <c r="C19" s="4"/>
      <c r="F19" s="25"/>
      <c r="G19" s="13">
        <f>G18*$B$7/SQRT(3)</f>
        <v>244.79651413640133</v>
      </c>
      <c r="H19" s="13">
        <f>H18*$B$7/SQRT(3)</f>
        <v>1.1547005383792517</v>
      </c>
      <c r="I19" s="13">
        <f>I18*$B$7/SQRT(3)</f>
        <v>11.547005383792516</v>
      </c>
      <c r="J19" s="13">
        <f>J18*$B$7/SQRT(3)</f>
        <v>11.547005383792516</v>
      </c>
      <c r="K19" s="25">
        <v>45</v>
      </c>
      <c r="L19" s="63"/>
      <c r="N19" s="6"/>
    </row>
    <row r="20" spans="1:14" ht="13.5" thickBot="1">
      <c r="A20" s="46" t="s">
        <v>31</v>
      </c>
      <c r="B20" s="57">
        <f>ABS(B19/B8-1)</f>
        <v>0.00961655153168084</v>
      </c>
      <c r="C20" s="5"/>
      <c r="F20" s="25"/>
      <c r="G20" s="13" t="s">
        <v>14</v>
      </c>
      <c r="H20" s="17" t="s">
        <v>15</v>
      </c>
      <c r="I20" s="17" t="s">
        <v>16</v>
      </c>
      <c r="J20" t="s">
        <v>17</v>
      </c>
      <c r="K20" s="25">
        <v>50</v>
      </c>
      <c r="L20" s="63"/>
      <c r="N20" s="6"/>
    </row>
    <row r="21" spans="3:14" ht="12.75">
      <c r="C21" s="3"/>
      <c r="F21" s="25"/>
      <c r="G21" s="14">
        <f>2*PI()*B6</f>
        <v>314.1592653589793</v>
      </c>
      <c r="H21" s="14">
        <f>G21*3</f>
        <v>942.4777960769379</v>
      </c>
      <c r="I21">
        <f>G21*5</f>
        <v>1570.7963267948967</v>
      </c>
      <c r="J21">
        <f>G21*7</f>
        <v>2199.1148575128555</v>
      </c>
      <c r="K21" s="25">
        <v>55</v>
      </c>
      <c r="L21" s="63"/>
      <c r="N21" s="6"/>
    </row>
    <row r="22" spans="1:14" ht="12.75">
      <c r="A22" s="2"/>
      <c r="B22" s="3"/>
      <c r="C22" s="4"/>
      <c r="F22" s="25"/>
      <c r="G22" s="14" t="s">
        <v>22</v>
      </c>
      <c r="H22" s="14" t="s">
        <v>24</v>
      </c>
      <c r="I22" t="s">
        <v>25</v>
      </c>
      <c r="J22" t="s">
        <v>26</v>
      </c>
      <c r="K22" s="25">
        <v>60</v>
      </c>
      <c r="L22" s="63"/>
      <c r="N22" s="6"/>
    </row>
    <row r="23" spans="1:14" ht="12.75">
      <c r="A23" s="1"/>
      <c r="B23" s="59"/>
      <c r="C23" s="1"/>
      <c r="F23" s="25"/>
      <c r="G23" s="14">
        <f>ABS(G21*$B$16/1000-1/(G21*3*$G$16/1000000))</f>
        <v>6.400090546418133</v>
      </c>
      <c r="H23" s="14">
        <f>ABS(H21*$B$16/1000-1/(H21*3*$G$16/1000000))</f>
        <v>0.8490171589676627</v>
      </c>
      <c r="I23" s="14">
        <f>ABS(I21*$B$16/1000-1/(I21*3*$G$16/1000000))</f>
        <v>1.031805332425462</v>
      </c>
      <c r="J23" s="14">
        <f>ABS(J21*$B$16/1000-1/(J21*3*$G$16/1000000))</f>
        <v>2.3883062672389643</v>
      </c>
      <c r="K23" s="25">
        <v>65</v>
      </c>
      <c r="L23" s="63"/>
      <c r="N23" s="6"/>
    </row>
    <row r="24" spans="1:14" ht="12.75">
      <c r="A24" s="75"/>
      <c r="B24" s="76"/>
      <c r="C24" s="65"/>
      <c r="D24" s="66"/>
      <c r="E24" s="67"/>
      <c r="F24" s="25"/>
      <c r="G24" s="66"/>
      <c r="H24" s="66"/>
      <c r="I24" s="66"/>
      <c r="J24" s="17"/>
      <c r="K24" s="25"/>
      <c r="L24" s="63"/>
      <c r="N24" s="6"/>
    </row>
    <row r="25" spans="1:15" ht="12.75">
      <c r="A25" s="77"/>
      <c r="B25" s="78"/>
      <c r="C25" s="68"/>
      <c r="D25" s="66"/>
      <c r="E25" s="70"/>
      <c r="F25" s="71"/>
      <c r="G25" s="16"/>
      <c r="H25" s="16"/>
      <c r="I25" s="16"/>
      <c r="J25" s="16"/>
      <c r="K25" s="25"/>
      <c r="L25" s="63"/>
      <c r="N25" s="6"/>
      <c r="O25" s="6"/>
    </row>
    <row r="26" spans="1:15" ht="12.75">
      <c r="A26" s="75"/>
      <c r="B26" s="76"/>
      <c r="C26" s="69"/>
      <c r="D26" s="66"/>
      <c r="E26" s="70"/>
      <c r="F26" s="71"/>
      <c r="G26" s="66"/>
      <c r="H26" s="66"/>
      <c r="I26" s="66"/>
      <c r="J26" s="66"/>
      <c r="K26" s="25"/>
      <c r="L26" s="63"/>
      <c r="N26" s="6"/>
      <c r="O26" s="6"/>
    </row>
    <row r="27" spans="1:15" ht="12.75">
      <c r="A27" s="73"/>
      <c r="B27" s="76"/>
      <c r="C27" s="67"/>
      <c r="D27" s="66"/>
      <c r="E27" s="72"/>
      <c r="F27" s="71"/>
      <c r="G27" s="66"/>
      <c r="H27" s="66"/>
      <c r="I27" s="66"/>
      <c r="J27" s="66"/>
      <c r="K27" s="25"/>
      <c r="L27" s="63"/>
      <c r="N27" s="6"/>
      <c r="O27" s="6"/>
    </row>
    <row r="28" spans="1:14" ht="12.75">
      <c r="A28" s="73"/>
      <c r="B28" s="79"/>
      <c r="E28" s="73"/>
      <c r="F28" s="74"/>
      <c r="K28" s="25">
        <v>88.8</v>
      </c>
      <c r="L28" s="63"/>
      <c r="N28" s="6"/>
    </row>
    <row r="29" spans="6:14" ht="12.75">
      <c r="F29" s="29"/>
      <c r="K29" s="25">
        <v>95</v>
      </c>
      <c r="L29" s="63"/>
      <c r="N29" s="6"/>
    </row>
    <row r="30" spans="11:14" ht="12.75">
      <c r="K30" s="25">
        <v>100</v>
      </c>
      <c r="L30" s="64"/>
      <c r="N30" s="6"/>
    </row>
    <row r="31" spans="4:14" ht="12.75">
      <c r="D31" s="6"/>
      <c r="E31" s="6"/>
      <c r="N31" s="6"/>
    </row>
    <row r="32" ht="12.75">
      <c r="N32" s="6"/>
    </row>
    <row r="33" ht="12.75">
      <c r="N33" s="6"/>
    </row>
    <row r="34" ht="12.75">
      <c r="N34" s="6"/>
    </row>
    <row r="35" ht="12.75">
      <c r="N35" s="6"/>
    </row>
    <row r="36" ht="12.75">
      <c r="N36" s="6"/>
    </row>
    <row r="37" ht="12.75">
      <c r="N37" s="6"/>
    </row>
    <row r="38" ht="12.75">
      <c r="N38" s="6"/>
    </row>
    <row r="39" spans="14:15" ht="12.75">
      <c r="N39" s="6"/>
      <c r="O39" s="6"/>
    </row>
    <row r="40" spans="14:15" ht="12.75">
      <c r="N40" s="6"/>
      <c r="O40" s="6"/>
    </row>
    <row r="41" spans="14:15" ht="12.75">
      <c r="N41" s="6"/>
      <c r="O41" s="6"/>
    </row>
  </sheetData>
  <sheetProtection/>
  <mergeCells count="1">
    <mergeCell ref="A1:B1"/>
  </mergeCells>
  <conditionalFormatting sqref="B20">
    <cfRule type="cellIs" priority="1" dxfId="0" operator="greaterThan" stopIfTrue="1">
      <formula>0.05</formula>
    </cfRule>
  </conditionalFormatting>
  <conditionalFormatting sqref="B17">
    <cfRule type="cellIs" priority="2" dxfId="0" operator="lessThan" stopIfTrue="1">
      <formula>$B$13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</dc:creator>
  <cp:keywords/>
  <dc:description/>
  <cp:lastModifiedBy>Şükrü Mamuş</cp:lastModifiedBy>
  <dcterms:created xsi:type="dcterms:W3CDTF">2010-03-09T08:09:11Z</dcterms:created>
  <dcterms:modified xsi:type="dcterms:W3CDTF">2017-04-13T03:28:26Z</dcterms:modified>
  <cp:category/>
  <cp:version/>
  <cp:contentType/>
  <cp:contentStatus/>
</cp:coreProperties>
</file>